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ed\Documents\MREA\MN Lobbying\2016 session\Early learning\"/>
    </mc:Choice>
  </mc:AlternateContent>
  <bookViews>
    <workbookView xWindow="0" yWindow="0" windowWidth="18570" windowHeight="71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Sheet1!$A$1:$I$44</definedName>
  </definedNames>
  <calcPr calcId="152511"/>
</workbook>
</file>

<file path=xl/calcChain.xml><?xml version="1.0" encoding="utf-8"?>
<calcChain xmlns="http://schemas.openxmlformats.org/spreadsheetml/2006/main">
  <c r="D28" i="1" l="1"/>
  <c r="C28" i="1"/>
  <c r="D27" i="1"/>
  <c r="C27" i="1"/>
  <c r="D25" i="1"/>
  <c r="C25" i="1"/>
  <c r="D18" i="1"/>
  <c r="D19" i="1" s="1"/>
  <c r="D20" i="1" s="1"/>
  <c r="D22" i="1"/>
  <c r="D23" i="1" s="1"/>
  <c r="D24" i="1" s="1"/>
  <c r="D30" i="1"/>
  <c r="D31" i="1"/>
  <c r="D21" i="1" l="1"/>
  <c r="D26" i="1"/>
  <c r="D29" i="1"/>
  <c r="D32" i="1"/>
  <c r="D33" i="1" l="1"/>
  <c r="D34" i="1" s="1"/>
  <c r="I30" i="1" l="1"/>
  <c r="I26" i="1"/>
  <c r="I25" i="1"/>
  <c r="I21" i="1"/>
  <c r="G5" i="1"/>
  <c r="G6" i="1" s="1"/>
  <c r="G7" i="1" l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I28" i="1"/>
  <c r="I22" i="1"/>
  <c r="I23" i="1"/>
  <c r="C31" i="1"/>
  <c r="G21" i="1" l="1"/>
  <c r="G22" i="1" s="1"/>
  <c r="G23" i="1" s="1"/>
  <c r="G24" i="1" s="1"/>
  <c r="G25" i="1" s="1"/>
  <c r="G26" i="1" s="1"/>
  <c r="G27" i="1" s="1"/>
  <c r="G28" i="1" s="1"/>
  <c r="G29" i="1" s="1"/>
  <c r="G30" i="1" s="1"/>
  <c r="G32" i="1" s="1"/>
  <c r="G19" i="1"/>
  <c r="I24" i="1"/>
  <c r="I27" i="1" s="1"/>
  <c r="I29" i="1" s="1"/>
  <c r="C30" i="1"/>
  <c r="I34" i="1" s="1"/>
  <c r="G34" i="1" l="1"/>
  <c r="G36" i="1" s="1"/>
  <c r="G37" i="1" s="1"/>
  <c r="G39" i="1" s="1"/>
  <c r="C22" i="1"/>
  <c r="C23" i="1" s="1"/>
  <c r="C24" i="1" s="1"/>
  <c r="C18" i="1"/>
  <c r="C19" i="1" s="1"/>
  <c r="C20" i="1" s="1"/>
  <c r="G41" i="1" l="1"/>
  <c r="G43" i="1" s="1"/>
  <c r="G40" i="1"/>
  <c r="G42" i="1" s="1"/>
  <c r="C26" i="1"/>
  <c r="I32" i="1" s="1"/>
  <c r="C29" i="1"/>
  <c r="C32" i="1"/>
  <c r="C21" i="1"/>
  <c r="C33" i="1" l="1"/>
  <c r="C34" i="1" s="1"/>
  <c r="I36" i="1"/>
  <c r="C36" i="1" s="1"/>
  <c r="I37" i="1" l="1"/>
  <c r="D36" i="1" s="1"/>
</calcChain>
</file>

<file path=xl/sharedStrings.xml><?xml version="1.0" encoding="utf-8"?>
<sst xmlns="http://schemas.openxmlformats.org/spreadsheetml/2006/main" count="84" uniqueCount="81">
  <si>
    <t>INPUT DATA:</t>
  </si>
  <si>
    <t>Days per year</t>
  </si>
  <si>
    <t>Estimated number of participants</t>
  </si>
  <si>
    <t>Number of participants qualifying for free lunch</t>
  </si>
  <si>
    <t>Number of participants qualifying for reduced price lunch</t>
  </si>
  <si>
    <t>District general ed revenue / PU excluding compensatory</t>
  </si>
  <si>
    <t>Q Comp district? 1 (if yes, 0 if no)</t>
  </si>
  <si>
    <t>Achievement and Integration allowance per pupil unit</t>
  </si>
  <si>
    <t>Program Instructional Hours per day</t>
  </si>
  <si>
    <t>School breakfast provided? (1 if yes, 0 if no)</t>
  </si>
  <si>
    <t>School lunch provided? (1 if yes, 0 if no)</t>
  </si>
  <si>
    <t>REVENUE CALCULATIONS:</t>
  </si>
  <si>
    <t>Total Annual hours per student(hours x days)</t>
  </si>
  <si>
    <t>Pupil units (number of participants x pu/ participant)</t>
  </si>
  <si>
    <t>Poverty concentration factor = (free + ½ of reduced)/total participants</t>
  </si>
  <si>
    <t xml:space="preserve">Total general ed revenue excluding compensatory = PU x average gen ed per pu excluding compensatory </t>
  </si>
  <si>
    <t>Compensatory revenue / adjusted poverty count</t>
  </si>
  <si>
    <t xml:space="preserve">Compensatory revenue </t>
  </si>
  <si>
    <t>Pupil units /participant (lesser of 0.6 or annual hours /850)</t>
  </si>
  <si>
    <t>LTFM revenue (excluding remodeling)</t>
  </si>
  <si>
    <t>Safe Schools Levy</t>
  </si>
  <si>
    <t>School Breakfast Aid</t>
  </si>
  <si>
    <t>Achievement &amp; Integration revenue</t>
  </si>
  <si>
    <t>School Lunch Aid &amp; fees</t>
  </si>
  <si>
    <t>TOTAL REVENUE</t>
  </si>
  <si>
    <t>REVENUE / PARTICIPANT</t>
  </si>
  <si>
    <t>Enter data in highlighted spaces (lines 1 - 12)</t>
  </si>
  <si>
    <t>From FY 16  Integration Revenue report, line 32</t>
  </si>
  <si>
    <t>Data Souces on MDE web site</t>
  </si>
  <si>
    <t>Average Building Age (uncapped)</t>
  </si>
  <si>
    <t>VOLUNTARY PREKINDERGARTEN EXPENDITURE SPREADSHEET-MREA</t>
  </si>
  <si>
    <t>VOLUNTARY PREKINDERGARTEN REVENUE SPREADSHEET-MDE</t>
  </si>
  <si>
    <t>Instructional Hours plus prep as percentage of 1.0 FTE for each section</t>
  </si>
  <si>
    <t>Daily instructional hours for 1.0 FTE elementary teacher</t>
  </si>
  <si>
    <t>Instructional days in K-12 teacher contract</t>
  </si>
  <si>
    <t>Prep @ .14 for full time FTE teacher</t>
  </si>
  <si>
    <t>Percentage of FTE per Section</t>
  </si>
  <si>
    <t>Proportion of other days calculated as daily percentage on total days</t>
  </si>
  <si>
    <t>Number of sections, 20 maximum</t>
  </si>
  <si>
    <t>Number of staff, 10:1 max</t>
  </si>
  <si>
    <t>Licensed staff estimated cost</t>
  </si>
  <si>
    <t>Para staff estimated cost</t>
  </si>
  <si>
    <t>Yearly Additional food service costs for Pre School breakfast (staff and food)</t>
  </si>
  <si>
    <t>Yearly Additional food service costs for Pre School lunch (staff and food)</t>
  </si>
  <si>
    <t>ECSE revenue if second staff person in classroom is ECSE staff</t>
  </si>
  <si>
    <t>Staff development expenses</t>
  </si>
  <si>
    <t>Parent involvement expenses</t>
  </si>
  <si>
    <t>ECFE Revenue for parent education</t>
  </si>
  <si>
    <t>Formative Assessment expenses</t>
  </si>
  <si>
    <t>One time start up expenses:  furniture, curriculum, classroom technology, toys, etc</t>
  </si>
  <si>
    <t>Gen Ed Net Year 1</t>
  </si>
  <si>
    <t>Gen Ed Net Year 2</t>
  </si>
  <si>
    <t>Additional bussing costs if you need to add a route or have mid day bussing for 1/2 day programming</t>
  </si>
  <si>
    <t xml:space="preserve">Total estimated Gen ed estimated costs </t>
  </si>
  <si>
    <t>Facility remodeling or construction costs</t>
  </si>
  <si>
    <t>NET ALL FUNDS</t>
  </si>
  <si>
    <t>Classroom instructional supplies budget</t>
  </si>
  <si>
    <t>Lease costs (annual cost of operating lease or annual cost of lease purchase agreement for building addition)</t>
  </si>
  <si>
    <t>Commissioner approved costs for remodeling current space for Pre-School students.  This amount is over and above the LTFM per pupil cap. 100% levy for districts with average building age over 35 years. If financed with bonds, show current year debt service cost.</t>
  </si>
  <si>
    <t>Permissable Additional Revenue from other Funding Streams</t>
  </si>
  <si>
    <t>Days within the teacher contract for conferences, inservice, etc</t>
  </si>
  <si>
    <t>Expected 1.0 FTE licensed elementary teacher salary and benefits</t>
  </si>
  <si>
    <t>Expected 1.0 FTE elementary Para salary and benefits</t>
  </si>
  <si>
    <t>EXPENSE CALCULATIONS</t>
  </si>
  <si>
    <t>NET CALCULATIONS</t>
  </si>
  <si>
    <t>Food Service Net</t>
  </si>
  <si>
    <t>Enter data in highlighted spaces (lines 1 - 16, 30-32)</t>
  </si>
  <si>
    <t xml:space="preserve">Net covers all other support for classroom, heat, lights, cleaning, secretarial, admin. </t>
  </si>
  <si>
    <t>Facility Reserves Net</t>
  </si>
  <si>
    <t>Coordinatation costs with community based health and social service agencies</t>
  </si>
  <si>
    <t>Title I revenue if second staff person in classroom is Title I staff</t>
  </si>
  <si>
    <t>LTFM revenue for remodeling cost(pay as you go and/or debt service for current year)</t>
  </si>
  <si>
    <t>FY 2017</t>
  </si>
  <si>
    <t>FY 2018</t>
  </si>
  <si>
    <t>Q Comp revenue (Zero for FY 17; if in Q Comp, $260 * Prior Yr participants for FY 18 and later)</t>
  </si>
  <si>
    <t>Lease levy for  building lease costs</t>
  </si>
  <si>
    <t>NOTE:  REVENUES SHOWN ARE APPROXIMATIONS</t>
  </si>
  <si>
    <t>From What If FY 2017, Revenue Summary section, cell Q 34 minus cell Q 21)</t>
  </si>
  <si>
    <t>Pathway II revenue included *</t>
  </si>
  <si>
    <t>Pathway I revenue anticipated*</t>
  </si>
  <si>
    <t>* Pathway 1 and II revenue can only be used for time outside of the hours claimed to generate pupil units for the voluntary pre-K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</si>
</sst>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F497D"/>
      <name val="Calibri"/>
      <family val="2"/>
    </font>
    <font>
      <b/>
      <sz val="11"/>
      <color rgb="FF1F497D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0" fillId="2" borderId="0" xfId="0" applyFill="1"/>
    <xf numFmtId="44" fontId="0" fillId="0" borderId="0" xfId="0" applyNumberFormat="1"/>
    <xf numFmtId="0" fontId="3" fillId="0" borderId="0" xfId="0" applyFont="1" applyBorder="1" applyAlignment="1">
      <alignment vertical="center" wrapText="1"/>
    </xf>
    <xf numFmtId="0" fontId="0" fillId="0" borderId="9" xfId="0" applyBorder="1"/>
    <xf numFmtId="44" fontId="0" fillId="0" borderId="9" xfId="0" applyNumberFormat="1" applyBorder="1"/>
    <xf numFmtId="44" fontId="0" fillId="0" borderId="9" xfId="1" applyFont="1" applyBorder="1"/>
    <xf numFmtId="0" fontId="3" fillId="0" borderId="0" xfId="0" applyFont="1" applyBorder="1" applyAlignment="1">
      <alignment vertical="center"/>
    </xf>
    <xf numFmtId="0" fontId="0" fillId="0" borderId="12" xfId="0" applyBorder="1"/>
    <xf numFmtId="0" fontId="4" fillId="0" borderId="3" xfId="0" applyFont="1" applyBorder="1" applyAlignment="1">
      <alignment vertical="center"/>
    </xf>
    <xf numFmtId="44" fontId="2" fillId="0" borderId="4" xfId="0" applyNumberFormat="1" applyFont="1" applyBorder="1"/>
    <xf numFmtId="0" fontId="4" fillId="0" borderId="6" xfId="0" applyFont="1" applyBorder="1" applyAlignment="1">
      <alignment vertical="center"/>
    </xf>
    <xf numFmtId="44" fontId="2" fillId="0" borderId="7" xfId="0" applyNumberFormat="1" applyFont="1" applyBorder="1"/>
    <xf numFmtId="0" fontId="0" fillId="2" borderId="9" xfId="0" applyFill="1" applyBorder="1"/>
    <xf numFmtId="0" fontId="4" fillId="0" borderId="1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7" xfId="0" applyBorder="1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/>
    <xf numFmtId="0" fontId="0" fillId="0" borderId="0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1" xfId="0" applyBorder="1" applyAlignment="1">
      <alignment wrapText="1"/>
    </xf>
    <xf numFmtId="2" fontId="0" fillId="0" borderId="9" xfId="0" applyNumberFormat="1" applyBorder="1"/>
    <xf numFmtId="44" fontId="0" fillId="0" borderId="7" xfId="0" applyNumberFormat="1" applyBorder="1"/>
    <xf numFmtId="0" fontId="0" fillId="2" borderId="3" xfId="0" applyFill="1" applyBorder="1" applyAlignment="1">
      <alignment wrapText="1"/>
    </xf>
    <xf numFmtId="0" fontId="0" fillId="0" borderId="4" xfId="0" applyFill="1" applyBorder="1"/>
    <xf numFmtId="44" fontId="0" fillId="2" borderId="7" xfId="0" applyNumberFormat="1" applyFill="1" applyBorder="1"/>
    <xf numFmtId="0" fontId="0" fillId="0" borderId="6" xfId="0" applyBorder="1"/>
    <xf numFmtId="44" fontId="0" fillId="0" borderId="9" xfId="1" applyFont="1" applyFill="1" applyBorder="1"/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0" borderId="14" xfId="0" applyBorder="1" applyAlignment="1">
      <alignment wrapText="1"/>
    </xf>
    <xf numFmtId="0" fontId="0" fillId="0" borderId="15" xfId="0" applyBorder="1"/>
    <xf numFmtId="0" fontId="2" fillId="0" borderId="10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10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44" fontId="0" fillId="0" borderId="4" xfId="0" applyNumberFormat="1" applyBorder="1"/>
    <xf numFmtId="0" fontId="0" fillId="2" borderId="0" xfId="0" applyFill="1" applyAlignment="1">
      <alignment horizontal="left"/>
    </xf>
    <xf numFmtId="0" fontId="2" fillId="2" borderId="2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8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2" xfId="0" applyBorder="1" applyAlignment="1">
      <alignment horizontal="center"/>
    </xf>
    <xf numFmtId="0" fontId="2" fillId="0" borderId="10" xfId="0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44" fontId="2" fillId="0" borderId="12" xfId="0" applyNumberFormat="1" applyFont="1" applyBorder="1"/>
    <xf numFmtId="44" fontId="2" fillId="0" borderId="10" xfId="0" applyNumberFormat="1" applyFont="1" applyBorder="1"/>
    <xf numFmtId="2" fontId="0" fillId="0" borderId="14" xfId="0" applyNumberFormat="1" applyBorder="1"/>
    <xf numFmtId="44" fontId="0" fillId="0" borderId="14" xfId="0" applyNumberFormat="1" applyBorder="1"/>
    <xf numFmtId="44" fontId="0" fillId="0" borderId="14" xfId="1" applyFont="1" applyBorder="1"/>
    <xf numFmtId="44" fontId="0" fillId="0" borderId="14" xfId="1" applyFont="1" applyFill="1" applyBorder="1"/>
    <xf numFmtId="44" fontId="2" fillId="0" borderId="13" xfId="0" applyNumberFormat="1" applyFont="1" applyBorder="1"/>
    <xf numFmtId="44" fontId="2" fillId="0" borderId="15" xfId="0" applyNumberFormat="1" applyFont="1" applyBorder="1"/>
    <xf numFmtId="43" fontId="0" fillId="0" borderId="0" xfId="2" applyFont="1"/>
    <xf numFmtId="44" fontId="0" fillId="2" borderId="7" xfId="1" applyFont="1" applyFill="1" applyBorder="1"/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0" fillId="2" borderId="4" xfId="0" applyFill="1" applyBorder="1"/>
    <xf numFmtId="0" fontId="0" fillId="2" borderId="9" xfId="0" applyFill="1" applyBorder="1"/>
    <xf numFmtId="44" fontId="0" fillId="2" borderId="9" xfId="1" applyFont="1" applyFill="1" applyBorder="1"/>
    <xf numFmtId="0" fontId="2" fillId="0" borderId="11" xfId="0" applyFont="1" applyBorder="1"/>
    <xf numFmtId="0" fontId="3" fillId="0" borderId="6" xfId="0" applyFont="1" applyFill="1" applyBorder="1" applyAlignment="1">
      <alignment vertical="center" wrapText="1"/>
    </xf>
    <xf numFmtId="0" fontId="0" fillId="2" borderId="7" xfId="0" applyFill="1" applyBorder="1"/>
    <xf numFmtId="44" fontId="0" fillId="2" borderId="9" xfId="0" applyNumberFormat="1" applyFill="1" applyBorder="1"/>
    <xf numFmtId="44" fontId="0" fillId="2" borderId="9" xfId="1" applyNumberFormat="1" applyFont="1" applyFill="1" applyBorder="1"/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left"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tabSelected="1" workbookViewId="0">
      <selection activeCell="D22" sqref="D22"/>
    </sheetView>
  </sheetViews>
  <sheetFormatPr defaultRowHeight="15" x14ac:dyDescent="0.25"/>
  <cols>
    <col min="1" max="1" width="4.5703125" style="42" customWidth="1"/>
    <col min="2" max="2" width="36.7109375" customWidth="1"/>
    <col min="3" max="3" width="14.28515625" bestFit="1" customWidth="1"/>
    <col min="4" max="4" width="14.28515625" customWidth="1"/>
    <col min="5" max="5" width="26.28515625" customWidth="1"/>
    <col min="7" max="7" width="6.28515625" style="42" customWidth="1"/>
    <col min="8" max="8" width="39.140625" style="19" customWidth="1"/>
    <col min="9" max="9" width="13.7109375" customWidth="1"/>
    <col min="13" max="13" width="11.5703125" style="74" bestFit="1" customWidth="1"/>
  </cols>
  <sheetData>
    <row r="1" spans="1:9" x14ac:dyDescent="0.25">
      <c r="A1" s="54" t="s">
        <v>31</v>
      </c>
      <c r="G1" s="54" t="s">
        <v>30</v>
      </c>
    </row>
    <row r="2" spans="1:9" ht="15.75" thickBot="1" x14ac:dyDescent="0.3">
      <c r="A2" s="51" t="s">
        <v>26</v>
      </c>
      <c r="B2" s="3"/>
      <c r="G2" s="51" t="s">
        <v>66</v>
      </c>
      <c r="H2" s="20"/>
    </row>
    <row r="3" spans="1:9" ht="30" customHeight="1" thickBot="1" x14ac:dyDescent="0.3">
      <c r="A3" s="38" t="s">
        <v>0</v>
      </c>
      <c r="B3" s="82"/>
      <c r="C3" s="63" t="s">
        <v>72</v>
      </c>
      <c r="D3" s="63" t="s">
        <v>73</v>
      </c>
      <c r="E3" s="17" t="s">
        <v>28</v>
      </c>
      <c r="G3" s="48" t="s">
        <v>0</v>
      </c>
      <c r="H3" s="25"/>
      <c r="I3" s="10"/>
    </row>
    <row r="4" spans="1:9" x14ac:dyDescent="0.25">
      <c r="A4" s="43">
        <v>1</v>
      </c>
      <c r="B4" s="76" t="s">
        <v>8</v>
      </c>
      <c r="C4" s="79"/>
      <c r="D4" s="79"/>
      <c r="E4" s="34"/>
      <c r="G4" s="39">
        <v>1</v>
      </c>
      <c r="H4" s="23" t="s">
        <v>34</v>
      </c>
      <c r="I4" s="80"/>
    </row>
    <row r="5" spans="1:9" ht="30" x14ac:dyDescent="0.25">
      <c r="A5" s="39">
        <v>2</v>
      </c>
      <c r="B5" s="78" t="s">
        <v>1</v>
      </c>
      <c r="C5" s="80"/>
      <c r="D5" s="80"/>
      <c r="E5" s="35"/>
      <c r="G5" s="39">
        <f>G4+1</f>
        <v>2</v>
      </c>
      <c r="H5" s="23" t="s">
        <v>33</v>
      </c>
      <c r="I5" s="80"/>
    </row>
    <row r="6" spans="1:9" ht="30" x14ac:dyDescent="0.25">
      <c r="A6" s="39">
        <v>3</v>
      </c>
      <c r="B6" s="78" t="s">
        <v>2</v>
      </c>
      <c r="C6" s="80"/>
      <c r="D6" s="80"/>
      <c r="E6" s="35"/>
      <c r="G6" s="39">
        <f>G5+1</f>
        <v>3</v>
      </c>
      <c r="H6" s="23" t="s">
        <v>60</v>
      </c>
      <c r="I6" s="80"/>
    </row>
    <row r="7" spans="1:9" ht="30" x14ac:dyDescent="0.25">
      <c r="A7" s="39">
        <v>4</v>
      </c>
      <c r="B7" s="77" t="s">
        <v>3</v>
      </c>
      <c r="C7" s="80"/>
      <c r="D7" s="80"/>
      <c r="E7" s="35"/>
      <c r="G7" s="39">
        <f t="shared" ref="G7:G15" si="0">G6+1</f>
        <v>4</v>
      </c>
      <c r="H7" s="23" t="s">
        <v>61</v>
      </c>
      <c r="I7" s="85"/>
    </row>
    <row r="8" spans="1:9" ht="30" x14ac:dyDescent="0.25">
      <c r="A8" s="39">
        <v>5</v>
      </c>
      <c r="B8" s="77" t="s">
        <v>4</v>
      </c>
      <c r="C8" s="80"/>
      <c r="D8" s="80"/>
      <c r="E8" s="35"/>
      <c r="G8" s="39">
        <f t="shared" si="0"/>
        <v>5</v>
      </c>
      <c r="H8" s="23" t="s">
        <v>62</v>
      </c>
      <c r="I8" s="85"/>
    </row>
    <row r="9" spans="1:9" ht="45" x14ac:dyDescent="0.25">
      <c r="A9" s="39">
        <v>6</v>
      </c>
      <c r="B9" s="77" t="s">
        <v>5</v>
      </c>
      <c r="C9" s="81"/>
      <c r="D9" s="81"/>
      <c r="E9" s="36" t="s">
        <v>77</v>
      </c>
      <c r="G9" s="39">
        <f t="shared" si="0"/>
        <v>6</v>
      </c>
      <c r="H9" s="23" t="s">
        <v>56</v>
      </c>
      <c r="I9" s="86"/>
    </row>
    <row r="10" spans="1:9" ht="30" customHeight="1" x14ac:dyDescent="0.25">
      <c r="A10" s="39">
        <v>7</v>
      </c>
      <c r="B10" s="78" t="s">
        <v>6</v>
      </c>
      <c r="C10" s="80">
        <v>1</v>
      </c>
      <c r="D10" s="80">
        <v>1</v>
      </c>
      <c r="E10" s="35"/>
      <c r="G10" s="39">
        <f t="shared" si="0"/>
        <v>7</v>
      </c>
      <c r="H10" s="23" t="s">
        <v>49</v>
      </c>
      <c r="I10" s="86"/>
    </row>
    <row r="11" spans="1:9" ht="45" x14ac:dyDescent="0.25">
      <c r="A11" s="39">
        <v>8</v>
      </c>
      <c r="B11" s="77" t="s">
        <v>7</v>
      </c>
      <c r="C11" s="81"/>
      <c r="D11" s="81"/>
      <c r="E11" s="36" t="s">
        <v>27</v>
      </c>
      <c r="G11" s="39">
        <f t="shared" si="0"/>
        <v>8</v>
      </c>
      <c r="H11" s="23" t="s">
        <v>52</v>
      </c>
      <c r="I11" s="86"/>
    </row>
    <row r="12" spans="1:9" ht="30" x14ac:dyDescent="0.25">
      <c r="A12" s="39">
        <v>9</v>
      </c>
      <c r="B12" s="77" t="s">
        <v>9</v>
      </c>
      <c r="C12" s="80">
        <v>1</v>
      </c>
      <c r="D12" s="80">
        <v>1</v>
      </c>
      <c r="E12" s="35"/>
      <c r="G12" s="39">
        <f t="shared" si="0"/>
        <v>9</v>
      </c>
      <c r="H12" s="23" t="s">
        <v>42</v>
      </c>
      <c r="I12" s="86"/>
    </row>
    <row r="13" spans="1:9" ht="30" x14ac:dyDescent="0.25">
      <c r="A13" s="39">
        <v>10</v>
      </c>
      <c r="B13" s="77" t="s">
        <v>10</v>
      </c>
      <c r="C13" s="80">
        <v>1</v>
      </c>
      <c r="D13" s="80">
        <v>1</v>
      </c>
      <c r="E13" s="35"/>
      <c r="G13" s="39">
        <f t="shared" si="0"/>
        <v>10</v>
      </c>
      <c r="H13" s="23" t="s">
        <v>43</v>
      </c>
      <c r="I13" s="86"/>
    </row>
    <row r="14" spans="1:9" ht="105.75" thickBot="1" x14ac:dyDescent="0.3">
      <c r="A14" s="44">
        <v>11</v>
      </c>
      <c r="B14" s="83" t="s">
        <v>29</v>
      </c>
      <c r="C14" s="75">
        <v>35</v>
      </c>
      <c r="D14" s="75">
        <v>35</v>
      </c>
      <c r="E14" s="37"/>
      <c r="G14" s="39">
        <f t="shared" si="0"/>
        <v>11</v>
      </c>
      <c r="H14" s="23" t="s">
        <v>58</v>
      </c>
      <c r="I14" s="86"/>
    </row>
    <row r="15" spans="1:9" ht="45" x14ac:dyDescent="0.25">
      <c r="A15" s="45"/>
      <c r="B15" s="2"/>
      <c r="E15" s="33"/>
      <c r="G15" s="39">
        <f t="shared" si="0"/>
        <v>12</v>
      </c>
      <c r="H15" s="23" t="s">
        <v>57</v>
      </c>
      <c r="I15" s="86"/>
    </row>
    <row r="16" spans="1:9" ht="15.75" thickBot="1" x14ac:dyDescent="0.3">
      <c r="A16" s="45"/>
      <c r="B16" s="2"/>
      <c r="G16" s="39">
        <f>G15+1</f>
        <v>13</v>
      </c>
      <c r="H16" s="23" t="s">
        <v>45</v>
      </c>
      <c r="I16" s="85"/>
    </row>
    <row r="17" spans="1:9" ht="15.75" thickBot="1" x14ac:dyDescent="0.3">
      <c r="A17" s="64" t="s">
        <v>11</v>
      </c>
      <c r="B17" s="16"/>
      <c r="C17" s="17" t="s">
        <v>72</v>
      </c>
      <c r="D17" s="63" t="s">
        <v>73</v>
      </c>
      <c r="G17" s="39">
        <f>G16+1</f>
        <v>14</v>
      </c>
      <c r="H17" s="23" t="s">
        <v>46</v>
      </c>
      <c r="I17" s="85"/>
    </row>
    <row r="18" spans="1:9" ht="30" x14ac:dyDescent="0.25">
      <c r="A18" s="46">
        <v>12</v>
      </c>
      <c r="B18" s="5" t="s">
        <v>12</v>
      </c>
      <c r="C18" s="35">
        <f>C4*C5</f>
        <v>0</v>
      </c>
      <c r="D18" s="6">
        <f>D4*D5</f>
        <v>0</v>
      </c>
      <c r="G18" s="39">
        <f>G17+1</f>
        <v>15</v>
      </c>
      <c r="H18" s="23" t="s">
        <v>48</v>
      </c>
      <c r="I18" s="85"/>
    </row>
    <row r="19" spans="1:9" ht="30" customHeight="1" thickBot="1" x14ac:dyDescent="0.3">
      <c r="A19" s="46">
        <v>13</v>
      </c>
      <c r="B19" s="5" t="s">
        <v>18</v>
      </c>
      <c r="C19" s="35">
        <f>MIN((C18/850),0.6)</f>
        <v>0</v>
      </c>
      <c r="D19" s="6">
        <f>MIN((D18/850),0.6)</f>
        <v>0</v>
      </c>
      <c r="G19" s="40">
        <f>G18+1</f>
        <v>16</v>
      </c>
      <c r="H19" s="24" t="s">
        <v>69</v>
      </c>
      <c r="I19" s="84"/>
    </row>
    <row r="20" spans="1:9" ht="30" x14ac:dyDescent="0.25">
      <c r="A20" s="46">
        <v>14</v>
      </c>
      <c r="B20" s="5" t="s">
        <v>13</v>
      </c>
      <c r="C20" s="68">
        <f>C19*C6</f>
        <v>0</v>
      </c>
      <c r="D20" s="26">
        <f>D19*D6</f>
        <v>0</v>
      </c>
      <c r="G20" s="49" t="s">
        <v>63</v>
      </c>
      <c r="H20" s="47"/>
      <c r="I20" s="22"/>
    </row>
    <row r="21" spans="1:9" ht="45" x14ac:dyDescent="0.25">
      <c r="A21" s="46">
        <v>15</v>
      </c>
      <c r="B21" s="5" t="s">
        <v>15</v>
      </c>
      <c r="C21" s="69">
        <f>C20*C9</f>
        <v>0</v>
      </c>
      <c r="D21" s="7">
        <f>D20*D9</f>
        <v>0</v>
      </c>
      <c r="G21" s="41">
        <f>G18+1</f>
        <v>16</v>
      </c>
      <c r="H21" s="23" t="s">
        <v>32</v>
      </c>
      <c r="I21" s="26" t="e">
        <f>(C4*C5)/(I4*I5)</f>
        <v>#DIV/0!</v>
      </c>
    </row>
    <row r="22" spans="1:9" ht="30" x14ac:dyDescent="0.25">
      <c r="A22" s="46">
        <v>16</v>
      </c>
      <c r="B22" s="5" t="s">
        <v>14</v>
      </c>
      <c r="C22" s="35" t="e">
        <f>(C7+C8*0.5)/C6</f>
        <v>#DIV/0!</v>
      </c>
      <c r="D22" s="6" t="e">
        <f>(D7+D8*0.5)/D6</f>
        <v>#DIV/0!</v>
      </c>
      <c r="G22" s="39">
        <f t="shared" ref="G22:G30" si="1">G21+1</f>
        <v>17</v>
      </c>
      <c r="H22" s="23" t="s">
        <v>35</v>
      </c>
      <c r="I22" s="26" t="e">
        <f>0.14*I21</f>
        <v>#DIV/0!</v>
      </c>
    </row>
    <row r="23" spans="1:9" ht="30" x14ac:dyDescent="0.25">
      <c r="A23" s="46">
        <v>17</v>
      </c>
      <c r="B23" s="5" t="s">
        <v>16</v>
      </c>
      <c r="C23" s="70" t="e">
        <f>(6067-839)*0.6*MIN(1,C22/0.8)</f>
        <v>#DIV/0!</v>
      </c>
      <c r="D23" s="8" t="e">
        <f>(6067-839)*0.6*MIN(1,D22/0.8)</f>
        <v>#DIV/0!</v>
      </c>
      <c r="G23" s="39">
        <f t="shared" si="1"/>
        <v>18</v>
      </c>
      <c r="H23" s="23" t="s">
        <v>37</v>
      </c>
      <c r="I23" s="26" t="e">
        <f>((I6/(I4+I6)*I21))</f>
        <v>#DIV/0!</v>
      </c>
    </row>
    <row r="24" spans="1:9" x14ac:dyDescent="0.25">
      <c r="A24" s="46">
        <v>18</v>
      </c>
      <c r="B24" s="5" t="s">
        <v>17</v>
      </c>
      <c r="C24" s="70" t="e">
        <f>C23*(C7+0.5*C8)</f>
        <v>#DIV/0!</v>
      </c>
      <c r="D24" s="8" t="e">
        <f>D23*(D7+0.5*D8)</f>
        <v>#DIV/0!</v>
      </c>
      <c r="G24" s="39">
        <f t="shared" si="1"/>
        <v>19</v>
      </c>
      <c r="H24" s="23" t="s">
        <v>36</v>
      </c>
      <c r="I24" s="26" t="e">
        <f>SUM(I21:I23)</f>
        <v>#DIV/0!</v>
      </c>
    </row>
    <row r="25" spans="1:9" ht="45" x14ac:dyDescent="0.25">
      <c r="A25" s="46">
        <v>19</v>
      </c>
      <c r="B25" s="5" t="s">
        <v>74</v>
      </c>
      <c r="C25" s="70">
        <f>0</f>
        <v>0</v>
      </c>
      <c r="D25" s="8">
        <f>C6*D10*260</f>
        <v>0</v>
      </c>
      <c r="E25" s="4"/>
      <c r="G25" s="39">
        <f t="shared" si="1"/>
        <v>20</v>
      </c>
      <c r="H25" s="23" t="s">
        <v>38</v>
      </c>
      <c r="I25" s="6">
        <f>ROUNDUP(C6/20,0)</f>
        <v>0</v>
      </c>
    </row>
    <row r="26" spans="1:9" x14ac:dyDescent="0.25">
      <c r="A26" s="46">
        <v>20</v>
      </c>
      <c r="B26" s="9" t="s">
        <v>19</v>
      </c>
      <c r="C26" s="70">
        <f>193*C20*MIN(C14/35,1)</f>
        <v>0</v>
      </c>
      <c r="D26" s="8">
        <f>292*D20*MIN(D14/35,1)</f>
        <v>0</v>
      </c>
      <c r="G26" s="39">
        <f t="shared" si="1"/>
        <v>21</v>
      </c>
      <c r="H26" s="23" t="s">
        <v>39</v>
      </c>
      <c r="I26" s="6">
        <f>ROUNDUP(C6/10,0)</f>
        <v>0</v>
      </c>
    </row>
    <row r="27" spans="1:9" ht="45" x14ac:dyDescent="0.25">
      <c r="A27" s="46">
        <v>21</v>
      </c>
      <c r="B27" s="5" t="s">
        <v>71</v>
      </c>
      <c r="C27" s="71">
        <f>I14</f>
        <v>0</v>
      </c>
      <c r="D27" s="32">
        <f>I14</f>
        <v>0</v>
      </c>
      <c r="G27" s="39">
        <f t="shared" si="1"/>
        <v>22</v>
      </c>
      <c r="H27" s="23" t="s">
        <v>40</v>
      </c>
      <c r="I27" s="7" t="e">
        <f>I25*I24*I7</f>
        <v>#DIV/0!</v>
      </c>
    </row>
    <row r="28" spans="1:9" x14ac:dyDescent="0.25">
      <c r="A28" s="46">
        <v>22</v>
      </c>
      <c r="B28" s="5" t="s">
        <v>75</v>
      </c>
      <c r="C28" s="71">
        <f>I15</f>
        <v>0</v>
      </c>
      <c r="D28" s="32">
        <f>I15</f>
        <v>0</v>
      </c>
      <c r="G28" s="39">
        <f t="shared" si="1"/>
        <v>23</v>
      </c>
      <c r="H28" s="23" t="s">
        <v>41</v>
      </c>
      <c r="I28" s="7" t="e">
        <f>(I26-I25)*I21*I8</f>
        <v>#DIV/0!</v>
      </c>
    </row>
    <row r="29" spans="1:9" x14ac:dyDescent="0.25">
      <c r="A29" s="46">
        <v>23</v>
      </c>
      <c r="B29" s="5" t="s">
        <v>20</v>
      </c>
      <c r="C29" s="70">
        <f>36*C20</f>
        <v>0</v>
      </c>
      <c r="D29" s="8">
        <f>36*D20</f>
        <v>0</v>
      </c>
      <c r="G29" s="39">
        <f t="shared" si="1"/>
        <v>24</v>
      </c>
      <c r="H29" s="23" t="s">
        <v>53</v>
      </c>
      <c r="I29" s="7" t="e">
        <f>I9+I10+I11+I27+I28+I16+I17+I18+I19</f>
        <v>#DIV/0!</v>
      </c>
    </row>
    <row r="30" spans="1:9" ht="15.75" thickBot="1" x14ac:dyDescent="0.3">
      <c r="A30" s="46">
        <v>24</v>
      </c>
      <c r="B30" s="9" t="s">
        <v>21</v>
      </c>
      <c r="C30" s="70">
        <f>1.3*C6*C5</f>
        <v>0</v>
      </c>
      <c r="D30" s="8">
        <f>1.3*D6*D5</f>
        <v>0</v>
      </c>
      <c r="G30" s="40">
        <f t="shared" si="1"/>
        <v>25</v>
      </c>
      <c r="H30" s="24" t="s">
        <v>54</v>
      </c>
      <c r="I30" s="27">
        <f>I14+I15</f>
        <v>0</v>
      </c>
    </row>
    <row r="31" spans="1:9" x14ac:dyDescent="0.25">
      <c r="A31" s="46">
        <v>25</v>
      </c>
      <c r="B31" s="9" t="s">
        <v>23</v>
      </c>
      <c r="C31" s="70">
        <f>C6*3.255*C13*C5</f>
        <v>0</v>
      </c>
      <c r="D31" s="8">
        <f>D6*3.255*D13*D5</f>
        <v>0</v>
      </c>
      <c r="G31" s="49" t="s">
        <v>64</v>
      </c>
      <c r="H31" s="21"/>
      <c r="I31" s="50"/>
    </row>
    <row r="32" spans="1:9" ht="15.75" thickBot="1" x14ac:dyDescent="0.3">
      <c r="A32" s="46">
        <v>26</v>
      </c>
      <c r="B32" s="9" t="s">
        <v>22</v>
      </c>
      <c r="C32" s="70">
        <f>C20*C11</f>
        <v>0</v>
      </c>
      <c r="D32" s="8">
        <f>D20*D11</f>
        <v>0</v>
      </c>
      <c r="G32" s="39">
        <f>G30+1</f>
        <v>26</v>
      </c>
      <c r="H32" s="23" t="s">
        <v>68</v>
      </c>
      <c r="I32" s="7">
        <f>(C26+C27+C28)-I30</f>
        <v>0</v>
      </c>
    </row>
    <row r="33" spans="1:9" x14ac:dyDescent="0.25">
      <c r="A33" s="46">
        <v>27</v>
      </c>
      <c r="B33" s="11" t="s">
        <v>24</v>
      </c>
      <c r="C33" s="72" t="e">
        <f>SUM(C24:C32) + C21</f>
        <v>#DIV/0!</v>
      </c>
      <c r="D33" s="12" t="e">
        <f>SUM(D24:D32) + D21</f>
        <v>#DIV/0!</v>
      </c>
      <c r="G33" s="39"/>
      <c r="H33" s="23"/>
      <c r="I33" s="7"/>
    </row>
    <row r="34" spans="1:9" ht="15.75" thickBot="1" x14ac:dyDescent="0.3">
      <c r="A34" s="46">
        <v>28</v>
      </c>
      <c r="B34" s="13" t="s">
        <v>25</v>
      </c>
      <c r="C34" s="73" t="e">
        <f>C33/C6</f>
        <v>#DIV/0!</v>
      </c>
      <c r="D34" s="14" t="e">
        <f>D33/D6</f>
        <v>#DIV/0!</v>
      </c>
      <c r="G34" s="39">
        <f>G32+1</f>
        <v>27</v>
      </c>
      <c r="H34" s="23" t="s">
        <v>65</v>
      </c>
      <c r="I34" s="7">
        <f>(C30-I12)+(C31-I13)</f>
        <v>0</v>
      </c>
    </row>
    <row r="35" spans="1:9" ht="15.75" thickBot="1" x14ac:dyDescent="0.3">
      <c r="A35" s="46"/>
      <c r="B35" s="1"/>
      <c r="G35" s="39"/>
      <c r="H35" s="23"/>
      <c r="I35" s="6"/>
    </row>
    <row r="36" spans="1:9" ht="15.75" thickBot="1" x14ac:dyDescent="0.3">
      <c r="A36" s="65">
        <v>29</v>
      </c>
      <c r="B36" s="64" t="s">
        <v>55</v>
      </c>
      <c r="C36" s="67" t="e">
        <f>I36+SUM(I32:I34)+SUM(I39:I43)</f>
        <v>#DIV/0!</v>
      </c>
      <c r="D36" s="66" t="e">
        <f>I37+SUM(I32:I34)+SUM(I39:I43)</f>
        <v>#DIV/0!</v>
      </c>
      <c r="E36" s="22"/>
      <c r="G36" s="39">
        <f>G34+1</f>
        <v>28</v>
      </c>
      <c r="H36" s="23" t="s">
        <v>50</v>
      </c>
      <c r="I36" s="7" t="e">
        <f>(C21+C24+C29)-I29</f>
        <v>#DIV/0!</v>
      </c>
    </row>
    <row r="37" spans="1:9" ht="27" customHeight="1" thickBot="1" x14ac:dyDescent="0.3">
      <c r="A37" s="53" t="s">
        <v>67</v>
      </c>
      <c r="B37" s="31"/>
      <c r="C37" s="31"/>
      <c r="D37" s="31"/>
      <c r="E37" s="18"/>
      <c r="G37" s="40">
        <f>G36+1</f>
        <v>29</v>
      </c>
      <c r="H37" s="24" t="s">
        <v>51</v>
      </c>
      <c r="I37" s="27" t="e">
        <f>I36+I10</f>
        <v>#DIV/0!</v>
      </c>
    </row>
    <row r="38" spans="1:9" x14ac:dyDescent="0.25">
      <c r="A38" s="60"/>
      <c r="B38" s="61"/>
      <c r="C38" s="61"/>
      <c r="D38" s="61"/>
      <c r="E38" s="62"/>
      <c r="G38" s="52" t="s">
        <v>59</v>
      </c>
      <c r="H38" s="28"/>
      <c r="I38" s="29"/>
    </row>
    <row r="39" spans="1:9" ht="30" x14ac:dyDescent="0.25">
      <c r="A39" s="55" t="s">
        <v>76</v>
      </c>
      <c r="B39" s="56"/>
      <c r="C39" s="56"/>
      <c r="D39" s="56"/>
      <c r="E39" s="57"/>
      <c r="G39" s="39">
        <f>G37+1</f>
        <v>30</v>
      </c>
      <c r="H39" s="23" t="s">
        <v>44</v>
      </c>
      <c r="I39" s="15"/>
    </row>
    <row r="40" spans="1:9" ht="30.75" thickBot="1" x14ac:dyDescent="0.3">
      <c r="A40" s="87"/>
      <c r="B40" s="88"/>
      <c r="C40" s="88"/>
      <c r="D40" s="88"/>
      <c r="E40" s="89"/>
      <c r="G40" s="39">
        <f>G39+1</f>
        <v>31</v>
      </c>
      <c r="H40" s="23" t="s">
        <v>70</v>
      </c>
      <c r="I40" s="15"/>
    </row>
    <row r="41" spans="1:9" x14ac:dyDescent="0.25">
      <c r="G41" s="39">
        <f>G39+1</f>
        <v>31</v>
      </c>
      <c r="H41" s="23" t="s">
        <v>78</v>
      </c>
      <c r="I41" s="15"/>
    </row>
    <row r="42" spans="1:9" x14ac:dyDescent="0.25">
      <c r="A42" s="58"/>
      <c r="B42" s="59"/>
      <c r="C42" s="59"/>
      <c r="D42" s="59"/>
      <c r="E42" s="59"/>
      <c r="G42" s="39">
        <f>G40+1</f>
        <v>32</v>
      </c>
      <c r="H42" s="23" t="s">
        <v>79</v>
      </c>
      <c r="I42" s="15"/>
    </row>
    <row r="43" spans="1:9" ht="15.75" thickBot="1" x14ac:dyDescent="0.3">
      <c r="B43" s="1"/>
      <c r="G43" s="40">
        <f>G41+1</f>
        <v>32</v>
      </c>
      <c r="H43" s="24" t="s">
        <v>47</v>
      </c>
      <c r="I43" s="30"/>
    </row>
    <row r="44" spans="1:9" ht="53.25" customHeight="1" thickBot="1" x14ac:dyDescent="0.3">
      <c r="F44" s="59"/>
      <c r="G44" s="90" t="s">
        <v>80</v>
      </c>
      <c r="H44" s="91"/>
      <c r="I44" s="92"/>
    </row>
    <row r="46" spans="1:9" ht="21" customHeight="1" x14ac:dyDescent="0.25"/>
  </sheetData>
  <mergeCells count="2">
    <mergeCell ref="A40:E40"/>
    <mergeCell ref="G44:I44"/>
  </mergeCells>
  <pageMargins left="0.25" right="0.25" top="0.5" bottom="0.25" header="0.3" footer="0.3"/>
  <pageSetup scale="81" fitToHeight="2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Minnesota Department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Melcher, Tom</dc:creator>
  <cp:lastModifiedBy>Fred</cp:lastModifiedBy>
  <cp:lastPrinted>2016-06-06T17:49:01Z</cp:lastPrinted>
  <dcterms:created xsi:type="dcterms:W3CDTF">2016-04-27T16:38:55Z</dcterms:created>
  <dcterms:modified xsi:type="dcterms:W3CDTF">2016-06-06T17:52:28Z</dcterms:modified>
</cp:coreProperties>
</file>